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7" yWindow="158" windowWidth="5883" windowHeight="4794" activeTab="1"/>
  </bookViews>
  <sheets>
    <sheet name="Retail Model" sheetId="1" r:id="rId1"/>
    <sheet name="Example Business Pla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<sst xmlns="http://schemas.openxmlformats.org/spreadsheetml/2006/main" count="181" uniqueCount="114">
  <si>
    <t>Marginal Cost Calculation Worksheet</t>
  </si>
  <si>
    <t>The costs used here are not derived from any particular network - they are a simple example only</t>
  </si>
  <si>
    <t>Target Line Loading Factor</t>
  </si>
  <si>
    <t>input</t>
  </si>
  <si>
    <t>Line loading before more bandwidth is required</t>
  </si>
  <si>
    <t>International Circuit cost calculation</t>
  </si>
  <si>
    <t>Capacity of the circuit</t>
  </si>
  <si>
    <t>Kbps</t>
  </si>
  <si>
    <t>Cost of the circuit - total lease cost</t>
  </si>
  <si>
    <t>monthly</t>
  </si>
  <si>
    <t>Megabytes</t>
  </si>
  <si>
    <t>Max sustainable loading factor</t>
  </si>
  <si>
    <t>uses target load factor from above</t>
  </si>
  <si>
    <t>Max sustainable traffic level</t>
  </si>
  <si>
    <t>cost per megabyte</t>
  </si>
  <si>
    <t>Marginal cost of delivered data, imported data</t>
  </si>
  <si>
    <t>This calculation is for the average of all domestic leased circuits</t>
  </si>
  <si>
    <t>Average cost of the circuit - total lease cost</t>
  </si>
  <si>
    <t>Max sustainable loading</t>
  </si>
  <si>
    <t>assumes unidirectional traffic</t>
  </si>
  <si>
    <t>line imbalance</t>
  </si>
  <si>
    <t>Average ratio of highest direction traffic volume to total traffic along link</t>
  </si>
  <si>
    <t>Topology Factor</t>
  </si>
  <si>
    <t>Average number of domestic hops for all traffic flows</t>
  </si>
  <si>
    <t>Marginal cost of delivered data</t>
  </si>
  <si>
    <t>Traffic Balance</t>
  </si>
  <si>
    <t>International</t>
  </si>
  <si>
    <t>How much traffic is imported</t>
  </si>
  <si>
    <t>Trunk</t>
  </si>
  <si>
    <t>How much trsffic is along domestic paths</t>
  </si>
  <si>
    <t>Local</t>
  </si>
  <si>
    <t>Total Delivered cost per Mb</t>
  </si>
  <si>
    <t>Average transmission cost of delivered data</t>
  </si>
  <si>
    <t>Overheads</t>
  </si>
  <si>
    <t>Fixed rate overhead calculation</t>
  </si>
  <si>
    <t>Marginal Cost</t>
  </si>
  <si>
    <t>Business cost of delivered data</t>
  </si>
  <si>
    <t>Return on cashflow</t>
  </si>
  <si>
    <t>Desired operating margin of cash flow</t>
  </si>
  <si>
    <t>Target Average Retail Price per delivered Megabyte</t>
  </si>
  <si>
    <t xml:space="preserve">Retail Model </t>
  </si>
  <si>
    <t>64K connection Costs</t>
  </si>
  <si>
    <t>Maximum delivery capacity (Mb)</t>
  </si>
  <si>
    <t>Average line loading of line to customer (customer received traffic)</t>
  </si>
  <si>
    <t>Average line delivery (Mb)</t>
  </si>
  <si>
    <t>Net service cost (transmission)</t>
  </si>
  <si>
    <t>Max service liability (avg traffic flow)</t>
  </si>
  <si>
    <t>Max service liability (absolute risk)</t>
  </si>
  <si>
    <t>Fixed Flat rate tariff</t>
  </si>
  <si>
    <t>Monthly</t>
  </si>
  <si>
    <t>Dual Rate Tariff</t>
  </si>
  <si>
    <t>Dual rate tariff step point</t>
  </si>
  <si>
    <t>Low</t>
  </si>
  <si>
    <t>High</t>
  </si>
  <si>
    <t>Tiered Access Pricing</t>
  </si>
  <si>
    <t>can be used to encourage resellers through economies of aggregation</t>
  </si>
  <si>
    <t>Tier Factor</t>
  </si>
  <si>
    <t>leased PSTN modem, rated at 19.2K</t>
  </si>
  <si>
    <t>margin over base rate for this access speed</t>
  </si>
  <si>
    <t>64K</t>
  </si>
  <si>
    <t>128K</t>
  </si>
  <si>
    <t>256K</t>
  </si>
  <si>
    <t>512K</t>
  </si>
  <si>
    <t>Retail Schedule</t>
  </si>
  <si>
    <t>Fixed</t>
  </si>
  <si>
    <t>Modem Access Pricing</t>
  </si>
  <si>
    <t>Cost per modem hour</t>
  </si>
  <si>
    <t>Average modem speed</t>
  </si>
  <si>
    <t>kbps</t>
  </si>
  <si>
    <t>MBytes/hour</t>
  </si>
  <si>
    <t>Average line loading level</t>
  </si>
  <si>
    <t>At Marginal Retail</t>
  </si>
  <si>
    <t>Service Activity Loading</t>
  </si>
  <si>
    <t>Retail - minimum level</t>
  </si>
  <si>
    <t>hourly</t>
  </si>
  <si>
    <t>Retail</t>
  </si>
  <si>
    <t>Ratio of all other costs to total bandwidth lease cost</t>
  </si>
  <si>
    <t>Break even cost per megabyte at target load</t>
  </si>
  <si>
    <t xml:space="preserve"> </t>
  </si>
  <si>
    <t>Domestic Circuit cost calculation</t>
  </si>
  <si>
    <t>Average line occupancy</t>
  </si>
  <si>
    <t>marginal cost</t>
  </si>
  <si>
    <t>Line Occupancy</t>
  </si>
  <si>
    <t>Number of Clients</t>
  </si>
  <si>
    <t>Low band average line occupancy</t>
  </si>
  <si>
    <t>High band average line occupancy</t>
  </si>
  <si>
    <t>2 Tier</t>
  </si>
  <si>
    <t>Initial retail marketing margin</t>
  </si>
  <si>
    <t>Business Plan</t>
  </si>
  <si>
    <t>Services In Operation (SIO)</t>
  </si>
  <si>
    <t>Type</t>
  </si>
  <si>
    <t>dial</t>
  </si>
  <si>
    <t>pstn</t>
  </si>
  <si>
    <t>Year 1</t>
  </si>
  <si>
    <t>Year 2</t>
  </si>
  <si>
    <t>Year 3</t>
  </si>
  <si>
    <t>Year 4</t>
  </si>
  <si>
    <t>Revenue</t>
  </si>
  <si>
    <t>dial modems</t>
  </si>
  <si>
    <t>$</t>
  </si>
  <si>
    <t>TOTAL</t>
  </si>
  <si>
    <t>Costs</t>
  </si>
  <si>
    <t>Equipment</t>
  </si>
  <si>
    <t>Line Lease</t>
  </si>
  <si>
    <t>Staff</t>
  </si>
  <si>
    <t>Marketing</t>
  </si>
  <si>
    <t>P/L</t>
  </si>
  <si>
    <t>Calc Line Lease</t>
  </si>
  <si>
    <t>Actual Line Lease</t>
  </si>
  <si>
    <t>Connection charges</t>
  </si>
  <si>
    <t>Access charges</t>
  </si>
  <si>
    <t>Capacity calculation</t>
  </si>
  <si>
    <t>Net Result</t>
  </si>
  <si>
    <t>Profit/loss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</si>
</sst>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medium">
        <color indexed="11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17" applyFont="1" applyAlignment="1">
      <alignment/>
    </xf>
    <xf numFmtId="0" fontId="5" fillId="0" borderId="0" xfId="0" applyFont="1" applyAlignment="1">
      <alignment/>
    </xf>
    <xf numFmtId="9" fontId="4" fillId="0" borderId="0" xfId="19" applyFont="1" applyAlignment="1">
      <alignment/>
    </xf>
    <xf numFmtId="170" fontId="5" fillId="0" borderId="0" xfId="17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0" fontId="6" fillId="0" borderId="0" xfId="17" applyFont="1" applyAlignment="1">
      <alignment/>
    </xf>
    <xf numFmtId="181" fontId="6" fillId="0" borderId="0" xfId="15" applyNumberFormat="1" applyFont="1" applyAlignment="1">
      <alignment/>
    </xf>
    <xf numFmtId="9" fontId="6" fillId="0" borderId="0" xfId="19" applyFont="1" applyAlignment="1">
      <alignment/>
    </xf>
    <xf numFmtId="1" fontId="6" fillId="0" borderId="0" xfId="0" applyNumberFormat="1" applyFont="1" applyAlignment="1">
      <alignment/>
    </xf>
    <xf numFmtId="170" fontId="6" fillId="0" borderId="0" xfId="17" applyFont="1" applyBorder="1" applyAlignment="1">
      <alignment/>
    </xf>
    <xf numFmtId="170" fontId="6" fillId="0" borderId="1" xfId="17" applyFont="1" applyBorder="1" applyAlignment="1">
      <alignment/>
    </xf>
    <xf numFmtId="0" fontId="8" fillId="0" borderId="0" xfId="0" applyFont="1" applyAlignment="1">
      <alignment/>
    </xf>
    <xf numFmtId="170" fontId="6" fillId="0" borderId="2" xfId="17" applyFont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70" fontId="6" fillId="2" borderId="0" xfId="17" applyFont="1" applyFill="1" applyAlignment="1">
      <alignment/>
    </xf>
    <xf numFmtId="170" fontId="5" fillId="2" borderId="0" xfId="17" applyFont="1" applyFill="1" applyAlignment="1">
      <alignment/>
    </xf>
    <xf numFmtId="0" fontId="7" fillId="0" borderId="0" xfId="0" applyFont="1" applyAlignment="1">
      <alignment horizontal="right"/>
    </xf>
    <xf numFmtId="170" fontId="6" fillId="0" borderId="3" xfId="17" applyFont="1" applyBorder="1" applyAlignment="1">
      <alignment/>
    </xf>
    <xf numFmtId="2" fontId="6" fillId="0" borderId="0" xfId="0" applyNumberFormat="1" applyFont="1" applyAlignment="1">
      <alignment/>
    </xf>
    <xf numFmtId="9" fontId="5" fillId="0" borderId="0" xfId="17" applyNumberFormat="1" applyFont="1" applyAlignment="1">
      <alignment/>
    </xf>
    <xf numFmtId="170" fontId="5" fillId="0" borderId="0" xfId="17" applyFont="1" applyBorder="1" applyAlignment="1">
      <alignment/>
    </xf>
    <xf numFmtId="170" fontId="6" fillId="0" borderId="4" xfId="17" applyFont="1" applyBorder="1" applyAlignment="1">
      <alignment/>
    </xf>
    <xf numFmtId="170" fontId="6" fillId="0" borderId="5" xfId="17" applyFont="1" applyBorder="1" applyAlignment="1">
      <alignment/>
    </xf>
    <xf numFmtId="183" fontId="5" fillId="0" borderId="5" xfId="17" applyNumberFormat="1" applyFont="1" applyBorder="1" applyAlignment="1">
      <alignment/>
    </xf>
    <xf numFmtId="183" fontId="5" fillId="0" borderId="6" xfId="17" applyNumberFormat="1" applyFont="1" applyBorder="1" applyAlignment="1">
      <alignment/>
    </xf>
    <xf numFmtId="9" fontId="7" fillId="0" borderId="0" xfId="19" applyFont="1" applyAlignment="1">
      <alignment/>
    </xf>
    <xf numFmtId="183" fontId="6" fillId="0" borderId="0" xfId="17" applyNumberFormat="1" applyFont="1" applyAlignment="1">
      <alignment/>
    </xf>
    <xf numFmtId="170" fontId="7" fillId="0" borderId="7" xfId="17" applyFont="1" applyBorder="1" applyAlignment="1">
      <alignment/>
    </xf>
    <xf numFmtId="170" fontId="6" fillId="0" borderId="8" xfId="17" applyFont="1" applyBorder="1" applyAlignment="1">
      <alignment/>
    </xf>
    <xf numFmtId="170" fontId="6" fillId="0" borderId="0" xfId="0" applyNumberFormat="1" applyFont="1" applyAlignment="1">
      <alignment/>
    </xf>
    <xf numFmtId="170" fontId="9" fillId="0" borderId="0" xfId="17" applyFont="1" applyAlignment="1">
      <alignment/>
    </xf>
    <xf numFmtId="170" fontId="7" fillId="0" borderId="9" xfId="0" applyNumberFormat="1" applyFont="1" applyBorder="1" applyAlignment="1">
      <alignment/>
    </xf>
    <xf numFmtId="9" fontId="0" fillId="0" borderId="0" xfId="19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38" fontId="10" fillId="0" borderId="0" xfId="17" applyNumberFormat="1" applyFont="1" applyAlignment="1">
      <alignment horizontal="right"/>
    </xf>
    <xf numFmtId="38" fontId="10" fillId="0" borderId="0" xfId="17" applyNumberFormat="1" applyFont="1" applyAlignment="1">
      <alignment/>
    </xf>
    <xf numFmtId="0" fontId="11" fillId="0" borderId="0" xfId="0" applyFont="1" applyAlignment="1">
      <alignment horizontal="right"/>
    </xf>
    <xf numFmtId="38" fontId="11" fillId="0" borderId="0" xfId="17" applyNumberFormat="1" applyFont="1" applyAlignment="1">
      <alignment/>
    </xf>
    <xf numFmtId="38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Client Spread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435"/>
          <c:w val="0.882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Number of Clients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Sheet3!$A$2:$A$21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Sheet3!$B$2:$B$21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1685031"/>
        <c:axId val="62512096"/>
      </c:scatterChart>
      <c:valAx>
        <c:axId val="516850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Line Occupancy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crossBetween val="midCat"/>
        <c:dispUnits/>
      </c:valAx>
      <c:valAx>
        <c:axId val="6251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Clients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66675</xdr:rowOff>
    </xdr:from>
    <xdr:to>
      <xdr:col>7</xdr:col>
      <xdr:colOff>838200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819400" y="390525"/>
        <a:ext cx="4152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9</xdr:row>
      <xdr:rowOff>57150</xdr:rowOff>
    </xdr:from>
    <xdr:to>
      <xdr:col>5</xdr:col>
      <xdr:colOff>333375</xdr:colOff>
      <xdr:row>13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4619625" y="1514475"/>
          <a:ext cx="85725" cy="657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63">
      <selection activeCell="C97" sqref="C97"/>
    </sheetView>
  </sheetViews>
  <sheetFormatPr defaultColWidth="9.00390625" defaultRowHeight="12.75"/>
  <cols>
    <col min="1" max="1" width="40.50390625" style="6" customWidth="1"/>
    <col min="2" max="2" width="13.625" style="6" customWidth="1"/>
    <col min="3" max="3" width="12.625" style="6" customWidth="1"/>
    <col min="4" max="4" width="10.375" style="5" customWidth="1"/>
    <col min="5" max="5" width="8.375" style="5" customWidth="1"/>
    <col min="6" max="16384" width="11.50390625" style="6" customWidth="1"/>
  </cols>
  <sheetData>
    <row r="1" spans="1:5" s="1" customFormat="1" ht="16.5" customHeight="1">
      <c r="A1" s="1" t="s">
        <v>0</v>
      </c>
      <c r="D1" s="2"/>
      <c r="E1" s="2"/>
    </row>
    <row r="2" spans="4:5" s="1" customFormat="1" ht="16.5" customHeight="1">
      <c r="D2" s="2"/>
      <c r="E2" s="2"/>
    </row>
    <row r="3" spans="1:5" s="1" customFormat="1" ht="16.5" customHeight="1">
      <c r="A3" s="3" t="s">
        <v>1</v>
      </c>
      <c r="D3" s="2"/>
      <c r="E3" s="2"/>
    </row>
    <row r="4" spans="4:5" s="1" customFormat="1" ht="37.5" customHeight="1">
      <c r="D4" s="2"/>
      <c r="E4" s="2"/>
    </row>
    <row r="5" spans="1:5" s="1" customFormat="1" ht="16.5" customHeight="1">
      <c r="A5" s="1" t="s">
        <v>2</v>
      </c>
      <c r="C5" s="4">
        <v>0.55</v>
      </c>
      <c r="D5" s="5" t="s">
        <v>3</v>
      </c>
      <c r="E5" s="5" t="s">
        <v>4</v>
      </c>
    </row>
    <row r="6" ht="36.75" customHeight="1"/>
    <row r="7" ht="12.75">
      <c r="A7" s="7" t="s">
        <v>5</v>
      </c>
    </row>
    <row r="8" spans="1:4" ht="12.75">
      <c r="A8" s="8" t="s">
        <v>6</v>
      </c>
      <c r="B8" s="6" t="s">
        <v>7</v>
      </c>
      <c r="C8" s="6">
        <v>2048</v>
      </c>
      <c r="D8" s="5" t="s">
        <v>78</v>
      </c>
    </row>
    <row r="9" spans="1:4" ht="12.75">
      <c r="A9" s="8" t="s">
        <v>8</v>
      </c>
      <c r="B9" s="6" t="s">
        <v>9</v>
      </c>
      <c r="C9" s="31">
        <v>120000</v>
      </c>
      <c r="D9" s="5" t="s">
        <v>78</v>
      </c>
    </row>
    <row r="10" spans="1:3" ht="12.75">
      <c r="A10" s="8" t="s">
        <v>10</v>
      </c>
      <c r="B10" s="6" t="s">
        <v>9</v>
      </c>
      <c r="C10" s="10">
        <f>(C8/8000)*60*60*24*31</f>
        <v>685670.3999999999</v>
      </c>
    </row>
    <row r="11" spans="1:5" ht="12.75">
      <c r="A11" s="8" t="s">
        <v>11</v>
      </c>
      <c r="C11" s="30">
        <f>C5</f>
        <v>0.55</v>
      </c>
      <c r="D11" s="6"/>
      <c r="E11" s="5" t="s">
        <v>12</v>
      </c>
    </row>
    <row r="12" spans="1:3" ht="13.5" thickBot="1">
      <c r="A12" s="8" t="s">
        <v>13</v>
      </c>
      <c r="B12" s="11"/>
      <c r="C12" s="12">
        <f>C10*C11</f>
        <v>377118.72</v>
      </c>
    </row>
    <row r="13" spans="1:5" ht="13.5" thickBot="1">
      <c r="A13" s="8" t="s">
        <v>77</v>
      </c>
      <c r="C13" s="32">
        <f>C9/C12</f>
        <v>0.318202183121538</v>
      </c>
      <c r="E13" s="5" t="s">
        <v>15</v>
      </c>
    </row>
    <row r="14" ht="30" customHeight="1"/>
    <row r="15" spans="1:5" ht="12.75">
      <c r="A15" s="7" t="s">
        <v>79</v>
      </c>
      <c r="D15" s="6"/>
      <c r="E15" s="5" t="s">
        <v>16</v>
      </c>
    </row>
    <row r="16" spans="1:4" ht="12.75">
      <c r="A16" s="8" t="s">
        <v>6</v>
      </c>
      <c r="B16" s="6" t="s">
        <v>7</v>
      </c>
      <c r="C16" s="6">
        <v>2048</v>
      </c>
      <c r="D16" s="5" t="s">
        <v>78</v>
      </c>
    </row>
    <row r="17" spans="1:4" ht="12.75">
      <c r="A17" s="8" t="s">
        <v>17</v>
      </c>
      <c r="B17" s="6" t="s">
        <v>9</v>
      </c>
      <c r="C17" s="31">
        <f>8000</f>
        <v>8000</v>
      </c>
      <c r="D17" s="5" t="s">
        <v>78</v>
      </c>
    </row>
    <row r="18" spans="1:3" ht="12.75">
      <c r="A18" s="8" t="s">
        <v>10</v>
      </c>
      <c r="B18" s="6" t="s">
        <v>9</v>
      </c>
      <c r="C18" s="10">
        <f>(C16/8000)*60*60*24*31</f>
        <v>685670.3999999999</v>
      </c>
    </row>
    <row r="19" spans="1:5" ht="12.75">
      <c r="A19" s="8" t="s">
        <v>18</v>
      </c>
      <c r="C19" s="30">
        <f>C5</f>
        <v>0.55</v>
      </c>
      <c r="E19" s="5" t="s">
        <v>12</v>
      </c>
    </row>
    <row r="20" spans="1:3" ht="12.75">
      <c r="A20" s="8" t="s">
        <v>13</v>
      </c>
      <c r="C20" s="10">
        <f>C18*C19</f>
        <v>377118.72</v>
      </c>
    </row>
    <row r="21" spans="1:5" ht="12.75">
      <c r="A21" s="8" t="s">
        <v>14</v>
      </c>
      <c r="C21" s="13">
        <f>C17/C20</f>
        <v>0.0212134788747692</v>
      </c>
      <c r="E21" s="5" t="s">
        <v>19</v>
      </c>
    </row>
    <row r="22" spans="1:5" ht="12.75">
      <c r="A22" s="8" t="s">
        <v>20</v>
      </c>
      <c r="C22" s="6">
        <v>0.75</v>
      </c>
      <c r="D22" s="5" t="s">
        <v>78</v>
      </c>
      <c r="E22" s="5" t="s">
        <v>21</v>
      </c>
    </row>
    <row r="23" spans="1:5" ht="13.5" thickBot="1">
      <c r="A23" s="8" t="s">
        <v>22</v>
      </c>
      <c r="C23" s="6">
        <v>1.5</v>
      </c>
      <c r="D23" s="5" t="s">
        <v>78</v>
      </c>
      <c r="E23" s="5" t="s">
        <v>23</v>
      </c>
    </row>
    <row r="24" spans="1:5" ht="13.5" thickBot="1">
      <c r="A24" s="8" t="s">
        <v>14</v>
      </c>
      <c r="C24" s="32">
        <f>(C21/C22)*C22</f>
        <v>0.0212134788747692</v>
      </c>
      <c r="E24" s="5" t="s">
        <v>24</v>
      </c>
    </row>
    <row r="26" ht="12.75">
      <c r="A26" s="7" t="s">
        <v>25</v>
      </c>
    </row>
    <row r="27" spans="1:5" ht="12.75">
      <c r="A27" s="8" t="s">
        <v>26</v>
      </c>
      <c r="B27" s="11">
        <v>0.65</v>
      </c>
      <c r="C27" s="5">
        <f>(C13*B27)+(C24*B27)</f>
        <v>0.22062018029759967</v>
      </c>
      <c r="D27" s="5" t="s">
        <v>78</v>
      </c>
      <c r="E27" s="3" t="s">
        <v>27</v>
      </c>
    </row>
    <row r="28" spans="1:5" ht="12.75">
      <c r="A28" s="8" t="s">
        <v>28</v>
      </c>
      <c r="B28" s="11">
        <v>0.22</v>
      </c>
      <c r="C28" s="5">
        <f>C24*B28</f>
        <v>0.004666965352449224</v>
      </c>
      <c r="D28" s="5" t="s">
        <v>78</v>
      </c>
      <c r="E28" s="3" t="s">
        <v>29</v>
      </c>
    </row>
    <row r="29" spans="1:5" ht="13.5" thickBot="1">
      <c r="A29" s="8" t="s">
        <v>30</v>
      </c>
      <c r="B29" s="11">
        <f>1-B27-B28</f>
        <v>0.12999999999999998</v>
      </c>
      <c r="C29" s="5">
        <v>0</v>
      </c>
      <c r="E29" s="6"/>
    </row>
    <row r="30" spans="1:5" ht="13.5" thickBot="1">
      <c r="A30" s="8" t="s">
        <v>31</v>
      </c>
      <c r="C30" s="14">
        <f>C27+C28+C29</f>
        <v>0.2252871456500489</v>
      </c>
      <c r="E30" s="3" t="s">
        <v>32</v>
      </c>
    </row>
    <row r="32" ht="12.75">
      <c r="A32" s="7" t="s">
        <v>33</v>
      </c>
    </row>
    <row r="33" spans="1:5" ht="12.75">
      <c r="A33" s="8" t="s">
        <v>34</v>
      </c>
      <c r="C33" s="11">
        <v>0.2</v>
      </c>
      <c r="D33" s="5" t="s">
        <v>78</v>
      </c>
      <c r="E33" s="5" t="s">
        <v>76</v>
      </c>
    </row>
    <row r="34" ht="13.5" thickBot="1"/>
    <row r="35" spans="1:5" ht="15" thickBot="1" thickTop="1">
      <c r="A35" s="7" t="s">
        <v>35</v>
      </c>
      <c r="C35" s="33">
        <f>C30*(1+C33)</f>
        <v>0.2703445747800587</v>
      </c>
      <c r="E35" s="5" t="s">
        <v>36</v>
      </c>
    </row>
    <row r="36" ht="13.5" thickTop="1">
      <c r="A36" s="7"/>
    </row>
    <row r="37" spans="1:5" ht="12.75">
      <c r="A37" s="7" t="s">
        <v>37</v>
      </c>
      <c r="C37" s="11">
        <v>0.05</v>
      </c>
      <c r="D37" s="5" t="s">
        <v>78</v>
      </c>
      <c r="E37" s="5" t="s">
        <v>38</v>
      </c>
    </row>
    <row r="38" ht="13.5" thickBot="1">
      <c r="A38" s="7"/>
    </row>
    <row r="39" spans="1:3" ht="13.5" thickBot="1">
      <c r="A39" s="15" t="s">
        <v>39</v>
      </c>
      <c r="C39" s="16">
        <f>C35*(1+C37)</f>
        <v>0.28386180351906165</v>
      </c>
    </row>
    <row r="40" spans="1:3" ht="12.75">
      <c r="A40" s="7"/>
      <c r="C40" s="9"/>
    </row>
    <row r="41" spans="1:5" s="18" customFormat="1" ht="12.75">
      <c r="A41" s="17"/>
      <c r="C41" s="19"/>
      <c r="D41" s="20"/>
      <c r="E41" s="20"/>
    </row>
    <row r="42" ht="69.75" customHeight="1">
      <c r="C42" s="9"/>
    </row>
    <row r="43" spans="1:3" ht="15.75">
      <c r="A43" s="1" t="s">
        <v>40</v>
      </c>
      <c r="C43" s="9"/>
    </row>
    <row r="44" spans="1:3" ht="12.75">
      <c r="A44" s="7"/>
      <c r="C44" s="9"/>
    </row>
    <row r="45" ht="12.75">
      <c r="A45" s="7" t="s">
        <v>41</v>
      </c>
    </row>
    <row r="47" spans="1:3" ht="12.75">
      <c r="A47" s="8" t="s">
        <v>42</v>
      </c>
      <c r="B47" s="6" t="s">
        <v>9</v>
      </c>
      <c r="C47" s="12">
        <f>(64000/8000000)*60*60*24*31</f>
        <v>21427.199999999997</v>
      </c>
    </row>
    <row r="48" spans="1:5" ht="12.75">
      <c r="A48" s="8" t="s">
        <v>80</v>
      </c>
      <c r="C48" s="11">
        <v>0.3</v>
      </c>
      <c r="D48" s="5" t="s">
        <v>78</v>
      </c>
      <c r="E48" s="5" t="s">
        <v>43</v>
      </c>
    </row>
    <row r="49" spans="1:3" ht="12.75">
      <c r="A49" s="8" t="s">
        <v>44</v>
      </c>
      <c r="B49" s="6" t="s">
        <v>9</v>
      </c>
      <c r="C49" s="10">
        <f>C47*C48</f>
        <v>6428.159999999999</v>
      </c>
    </row>
    <row r="50" spans="1:3" ht="12.75">
      <c r="A50" s="8" t="s">
        <v>81</v>
      </c>
      <c r="C50" s="34">
        <f>C39</f>
        <v>0.28386180351906165</v>
      </c>
    </row>
    <row r="51" spans="1:5" ht="12.75">
      <c r="A51" s="8" t="s">
        <v>45</v>
      </c>
      <c r="B51" s="6" t="s">
        <v>9</v>
      </c>
      <c r="C51" s="35">
        <f>C49*C39</f>
        <v>1824.709090909091</v>
      </c>
      <c r="E51" s="6"/>
    </row>
    <row r="52" spans="1:5" ht="12.75">
      <c r="A52" s="8" t="s">
        <v>46</v>
      </c>
      <c r="B52" s="6" t="s">
        <v>9</v>
      </c>
      <c r="C52" s="5">
        <f>C47*C39</f>
        <v>6082.363636363637</v>
      </c>
      <c r="E52" s="6"/>
    </row>
    <row r="53" spans="1:5" ht="12.75">
      <c r="A53" s="8" t="s">
        <v>47</v>
      </c>
      <c r="B53" s="6" t="s">
        <v>9</v>
      </c>
      <c r="C53" s="5">
        <f>C47*((C13*(1+C33))*(1+C37))</f>
        <v>8590.90909090909</v>
      </c>
      <c r="E53" s="6"/>
    </row>
    <row r="55" ht="13.5" thickBot="1"/>
    <row r="56" spans="1:3" ht="13.5" thickBot="1">
      <c r="A56" s="21" t="s">
        <v>48</v>
      </c>
      <c r="B56" s="6" t="s">
        <v>49</v>
      </c>
      <c r="C56" s="36">
        <f>C51</f>
        <v>1824.709090909091</v>
      </c>
    </row>
    <row r="58" spans="1:5" ht="12.75">
      <c r="A58" s="21" t="s">
        <v>50</v>
      </c>
      <c r="C58" s="11">
        <v>0.4</v>
      </c>
      <c r="D58" s="5" t="s">
        <v>78</v>
      </c>
      <c r="E58" s="5" t="s">
        <v>51</v>
      </c>
    </row>
    <row r="59" spans="1:3" ht="12.75">
      <c r="A59" s="21" t="s">
        <v>84</v>
      </c>
      <c r="C59" s="11">
        <v>0.18</v>
      </c>
    </row>
    <row r="60" spans="1:3" ht="13.5" thickBot="1">
      <c r="A60" s="21" t="s">
        <v>85</v>
      </c>
      <c r="B60" s="11"/>
      <c r="C60" s="11">
        <v>0.59</v>
      </c>
    </row>
    <row r="61" spans="1:3" ht="13.5" thickBot="1">
      <c r="A61" s="21" t="s">
        <v>52</v>
      </c>
      <c r="B61" s="6" t="s">
        <v>9</v>
      </c>
      <c r="C61" s="14">
        <f>(C47*0.18)*C39</f>
        <v>1094.8254545454547</v>
      </c>
    </row>
    <row r="62" spans="1:3" ht="13.5" thickBot="1">
      <c r="A62" s="21" t="s">
        <v>53</v>
      </c>
      <c r="B62" s="6" t="s">
        <v>9</v>
      </c>
      <c r="C62" s="22">
        <f>(C47*0.588)*C39</f>
        <v>3576.429818181818</v>
      </c>
    </row>
    <row r="63" ht="13.5" customHeight="1"/>
    <row r="64" spans="1:5" s="18" customFormat="1" ht="12.75">
      <c r="A64" s="17"/>
      <c r="C64" s="19"/>
      <c r="D64" s="20"/>
      <c r="E64" s="20"/>
    </row>
    <row r="66" spans="1:5" ht="12.75">
      <c r="A66" s="7" t="s">
        <v>54</v>
      </c>
      <c r="D66" s="6"/>
      <c r="E66" s="6" t="s">
        <v>55</v>
      </c>
    </row>
    <row r="67" spans="2:5" ht="12.75">
      <c r="B67" s="8"/>
      <c r="D67" s="6"/>
      <c r="E67" s="6"/>
    </row>
    <row r="68" spans="2:5" ht="12.75">
      <c r="B68" s="23"/>
      <c r="C68" s="8" t="s">
        <v>56</v>
      </c>
      <c r="D68" s="6"/>
      <c r="E68" s="6"/>
    </row>
    <row r="69" spans="1:5" ht="12.75">
      <c r="A69" s="21" t="s">
        <v>57</v>
      </c>
      <c r="B69" s="6">
        <v>19.2</v>
      </c>
      <c r="C69" s="23">
        <v>1.4</v>
      </c>
      <c r="D69" s="5" t="s">
        <v>78</v>
      </c>
      <c r="E69" s="3" t="s">
        <v>58</v>
      </c>
    </row>
    <row r="70" spans="1:5" ht="12.75">
      <c r="A70" s="21" t="s">
        <v>59</v>
      </c>
      <c r="B70" s="6">
        <v>64</v>
      </c>
      <c r="C70" s="23">
        <v>1.2</v>
      </c>
      <c r="D70" s="5" t="s">
        <v>78</v>
      </c>
      <c r="E70" s="3" t="s">
        <v>58</v>
      </c>
    </row>
    <row r="71" spans="1:5" ht="12.75">
      <c r="A71" s="21" t="s">
        <v>60</v>
      </c>
      <c r="B71" s="6">
        <v>128</v>
      </c>
      <c r="C71" s="23">
        <v>1.1</v>
      </c>
      <c r="D71" s="5" t="s">
        <v>78</v>
      </c>
      <c r="E71" s="3" t="s">
        <v>58</v>
      </c>
    </row>
    <row r="72" spans="1:5" ht="12.75">
      <c r="A72" s="21" t="s">
        <v>61</v>
      </c>
      <c r="B72" s="6">
        <v>256</v>
      </c>
      <c r="C72" s="23">
        <v>1.05</v>
      </c>
      <c r="D72" s="5" t="s">
        <v>78</v>
      </c>
      <c r="E72" s="3" t="s">
        <v>58</v>
      </c>
    </row>
    <row r="73" spans="1:5" ht="12.75">
      <c r="A73" s="21" t="s">
        <v>62</v>
      </c>
      <c r="B73" s="6">
        <v>512</v>
      </c>
      <c r="C73" s="23">
        <v>1</v>
      </c>
      <c r="D73" s="5" t="s">
        <v>78</v>
      </c>
      <c r="E73" s="3" t="s">
        <v>58</v>
      </c>
    </row>
    <row r="74" spans="1:5" ht="12.75">
      <c r="A74" s="21"/>
      <c r="B74" s="23"/>
      <c r="D74" s="6"/>
      <c r="E74" s="6"/>
    </row>
    <row r="75" spans="1:5" ht="15.75">
      <c r="A75" s="2" t="s">
        <v>63</v>
      </c>
      <c r="E75" s="6"/>
    </row>
    <row r="76" spans="1:5" ht="12.75">
      <c r="A76" s="21"/>
      <c r="B76" s="6" t="s">
        <v>64</v>
      </c>
      <c r="C76" s="5" t="s">
        <v>86</v>
      </c>
      <c r="D76" s="24" t="s">
        <v>78</v>
      </c>
      <c r="E76" s="6"/>
    </row>
    <row r="77" spans="1:5" ht="15" customHeight="1" thickBot="1">
      <c r="A77" s="21"/>
      <c r="B77" s="6" t="s">
        <v>78</v>
      </c>
      <c r="C77" s="5" t="s">
        <v>52</v>
      </c>
      <c r="D77" s="5" t="s">
        <v>53</v>
      </c>
      <c r="E77" s="25"/>
    </row>
    <row r="78" spans="1:5" ht="15" thickBot="1" thickTop="1">
      <c r="A78" s="21" t="s">
        <v>57</v>
      </c>
      <c r="B78" s="28">
        <f>C$56*(B69/64)*C69</f>
        <v>766.377818181818</v>
      </c>
      <c r="C78" s="29">
        <f>(C61/6)*C69</f>
        <v>255.45927272727275</v>
      </c>
      <c r="D78" s="29">
        <f>(C62/6)*C69</f>
        <v>834.5002909090908</v>
      </c>
      <c r="E78" s="25"/>
    </row>
    <row r="79" spans="1:5" ht="15" thickBot="1" thickTop="1">
      <c r="A79" s="21" t="s">
        <v>59</v>
      </c>
      <c r="B79" s="29">
        <f>C$56*(B70/64)*C70</f>
        <v>2189.650909090909</v>
      </c>
      <c r="C79" s="28">
        <f>C61*C70</f>
        <v>1313.7905454545455</v>
      </c>
      <c r="D79" s="28">
        <f>C62*C70</f>
        <v>4291.715781818181</v>
      </c>
      <c r="E79" s="25"/>
    </row>
    <row r="80" spans="1:5" ht="15" thickBot="1" thickTop="1">
      <c r="A80" s="21" t="s">
        <v>60</v>
      </c>
      <c r="B80" s="29">
        <f>C$56*(B71/64)*C71</f>
        <v>4014.3600000000006</v>
      </c>
      <c r="C80" s="28">
        <f>C61*2*C71</f>
        <v>2408.6160000000004</v>
      </c>
      <c r="D80" s="28">
        <f>C62*2*C71</f>
        <v>7868.145600000001</v>
      </c>
      <c r="E80" s="25"/>
    </row>
    <row r="81" spans="1:5" ht="15" thickBot="1" thickTop="1">
      <c r="A81" s="21" t="s">
        <v>61</v>
      </c>
      <c r="B81" s="29">
        <f>C$56*(B72/64)*C72</f>
        <v>7663.778181818182</v>
      </c>
      <c r="C81" s="28">
        <f>C61*4*C72</f>
        <v>4598.26690909091</v>
      </c>
      <c r="D81" s="28">
        <f>C62*5*C72</f>
        <v>18776.256545454544</v>
      </c>
      <c r="E81" s="25"/>
    </row>
    <row r="82" spans="1:5" ht="15" thickBot="1" thickTop="1">
      <c r="A82" s="21" t="s">
        <v>62</v>
      </c>
      <c r="B82" s="29">
        <f>C$56*(B73/64)*C73</f>
        <v>14597.672727272728</v>
      </c>
      <c r="C82" s="28">
        <f>C61*8*C73</f>
        <v>8758.603636363638</v>
      </c>
      <c r="D82" s="28">
        <f>C62*8*C73</f>
        <v>28611.438545454545</v>
      </c>
      <c r="E82" s="25"/>
    </row>
    <row r="83" ht="13.5" thickTop="1"/>
    <row r="84" spans="1:5" s="18" customFormat="1" ht="12.75">
      <c r="A84" s="17"/>
      <c r="C84" s="19"/>
      <c r="D84" s="20"/>
      <c r="E84" s="20"/>
    </row>
    <row r="86" ht="12.75">
      <c r="A86" s="7" t="s">
        <v>65</v>
      </c>
    </row>
    <row r="88" ht="12.75">
      <c r="A88" s="6" t="s">
        <v>66</v>
      </c>
    </row>
    <row r="89" spans="1:4" ht="12.75">
      <c r="A89" s="8" t="s">
        <v>67</v>
      </c>
      <c r="B89" s="6" t="s">
        <v>68</v>
      </c>
      <c r="C89" s="6">
        <v>26</v>
      </c>
      <c r="D89" s="6" t="s">
        <v>78</v>
      </c>
    </row>
    <row r="90" spans="1:4" ht="12.75">
      <c r="A90" s="8" t="s">
        <v>69</v>
      </c>
      <c r="C90" s="6">
        <f>(C89/9000)*60*60</f>
        <v>10.4</v>
      </c>
      <c r="D90" s="6"/>
    </row>
    <row r="91" spans="1:4" ht="12.75">
      <c r="A91" s="8" t="s">
        <v>70</v>
      </c>
      <c r="C91" s="11">
        <v>0.1</v>
      </c>
      <c r="D91" s="6"/>
    </row>
    <row r="92" spans="1:5" ht="12.75">
      <c r="A92" s="8" t="s">
        <v>71</v>
      </c>
      <c r="C92" s="9">
        <f>C90*C91*C39</f>
        <v>0.2952162756598241</v>
      </c>
      <c r="D92" s="6"/>
      <c r="E92" s="6"/>
    </row>
    <row r="93" spans="1:5" ht="13.5" thickBot="1">
      <c r="A93" s="8" t="s">
        <v>72</v>
      </c>
      <c r="C93" s="11">
        <v>5</v>
      </c>
      <c r="D93" s="5" t="s">
        <v>78</v>
      </c>
      <c r="E93" s="6"/>
    </row>
    <row r="94" spans="1:5" ht="13.5" thickBot="1">
      <c r="A94" s="21" t="s">
        <v>73</v>
      </c>
      <c r="B94" s="6" t="s">
        <v>74</v>
      </c>
      <c r="C94" s="26">
        <f>C92*(1+C93)</f>
        <v>1.7712976539589447</v>
      </c>
      <c r="D94" s="6"/>
      <c r="E94" s="6"/>
    </row>
    <row r="95" spans="4:5" ht="12.75">
      <c r="D95" s="6"/>
      <c r="E95" s="6"/>
    </row>
    <row r="96" spans="1:5" ht="12.75">
      <c r="A96" s="8" t="s">
        <v>87</v>
      </c>
      <c r="C96" s="11">
        <v>0.5</v>
      </c>
      <c r="D96" s="5" t="s">
        <v>78</v>
      </c>
      <c r="E96" s="6"/>
    </row>
    <row r="97" ht="13.5" thickBot="1">
      <c r="E97" s="6"/>
    </row>
    <row r="98" spans="1:3" ht="15" thickBot="1" thickTop="1">
      <c r="A98" s="21" t="s">
        <v>75</v>
      </c>
      <c r="B98" s="6" t="s">
        <v>74</v>
      </c>
      <c r="C98" s="27">
        <f>C94*(1+C96)</f>
        <v>2.656946480938417</v>
      </c>
    </row>
    <row r="99" spans="4:5" ht="13.5" thickTop="1">
      <c r="D99" s="6"/>
      <c r="E99" s="6"/>
    </row>
    <row r="100" spans="4:5" ht="12.75">
      <c r="D100" s="6"/>
      <c r="E100" s="6"/>
    </row>
    <row r="101" spans="4:5" ht="12.75">
      <c r="D101" s="6"/>
      <c r="E101" s="6"/>
    </row>
    <row r="102" spans="4:5" ht="12.75">
      <c r="D102" s="6"/>
      <c r="E102" s="6"/>
    </row>
    <row r="103" spans="4:5" ht="12.75">
      <c r="D103" s="6"/>
      <c r="E103" s="6"/>
    </row>
    <row r="104" spans="4:5" ht="12.75">
      <c r="D104" s="6"/>
      <c r="E104" s="6"/>
    </row>
    <row r="105" spans="4:5" ht="12.75">
      <c r="D105" s="6"/>
      <c r="E105" s="6"/>
    </row>
    <row r="106" spans="4:5" ht="12.75">
      <c r="D106" s="6"/>
      <c r="E106" s="6"/>
    </row>
    <row r="107" spans="4:5" ht="12.75">
      <c r="D107" s="6"/>
      <c r="E107" s="6"/>
    </row>
    <row r="108" spans="4:5" ht="12.75">
      <c r="D108" s="6"/>
      <c r="E108" s="6"/>
    </row>
    <row r="109" spans="4:5" ht="12.75">
      <c r="D109" s="6"/>
      <c r="E109" s="6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7">
      <selection activeCell="A31" sqref="A31"/>
    </sheetView>
  </sheetViews>
  <sheetFormatPr defaultColWidth="9.00390625" defaultRowHeight="12.75"/>
  <cols>
    <col min="1" max="1" width="22.375" style="38" bestFit="1" customWidth="1"/>
    <col min="2" max="2" width="13.375" style="38" bestFit="1" customWidth="1"/>
    <col min="3" max="5" width="14.125" style="38" bestFit="1" customWidth="1"/>
    <col min="6" max="16384" width="11.50390625" style="38" customWidth="1"/>
  </cols>
  <sheetData>
    <row r="1" spans="1:7" s="39" customFormat="1" ht="16.5" customHeight="1">
      <c r="A1" s="39" t="s">
        <v>88</v>
      </c>
      <c r="B1" s="38"/>
      <c r="C1" s="38"/>
      <c r="D1" s="38"/>
      <c r="E1" s="38"/>
      <c r="F1" s="38"/>
      <c r="G1" s="38"/>
    </row>
    <row r="2" spans="1:7" s="39" customFormat="1" ht="16.5" customHeight="1">
      <c r="A2" s="38"/>
      <c r="B2" s="38" t="s">
        <v>93</v>
      </c>
      <c r="C2" s="38" t="s">
        <v>94</v>
      </c>
      <c r="D2" s="38" t="s">
        <v>95</v>
      </c>
      <c r="E2" s="38" t="s">
        <v>96</v>
      </c>
      <c r="F2" s="38"/>
      <c r="G2" s="38"/>
    </row>
    <row r="3" spans="1:7" s="39" customFormat="1" ht="16.5" customHeight="1">
      <c r="A3" s="39" t="s">
        <v>89</v>
      </c>
      <c r="B3" s="38"/>
      <c r="C3" s="38"/>
      <c r="D3" s="38"/>
      <c r="E3" s="38"/>
      <c r="F3" s="38"/>
      <c r="G3" s="38"/>
    </row>
    <row r="4" spans="1:7" s="39" customFormat="1" ht="12" customHeight="1">
      <c r="A4" s="38"/>
      <c r="B4" s="38"/>
      <c r="C4" s="38"/>
      <c r="D4" s="38"/>
      <c r="E4" s="38"/>
      <c r="F4" s="38"/>
      <c r="G4" s="38"/>
    </row>
    <row r="5" spans="1:7" s="39" customFormat="1" ht="16.5" customHeight="1">
      <c r="A5" s="43" t="s">
        <v>90</v>
      </c>
      <c r="F5" s="38"/>
      <c r="G5" s="38"/>
    </row>
    <row r="7" spans="1:5" ht="11.25">
      <c r="A7" s="40" t="s">
        <v>91</v>
      </c>
      <c r="B7" s="38">
        <v>300</v>
      </c>
      <c r="C7" s="38">
        <v>2000</v>
      </c>
      <c r="D7" s="38">
        <v>4000</v>
      </c>
      <c r="E7" s="38">
        <v>10000</v>
      </c>
    </row>
    <row r="8" spans="1:5" ht="11.25">
      <c r="A8" s="40" t="s">
        <v>98</v>
      </c>
      <c r="B8" s="38">
        <v>30</v>
      </c>
      <c r="C8" s="38">
        <v>200</v>
      </c>
      <c r="D8" s="38">
        <v>400</v>
      </c>
      <c r="E8" s="38">
        <v>1000</v>
      </c>
    </row>
    <row r="9" spans="1:5" ht="11.25">
      <c r="A9" s="40" t="s">
        <v>92</v>
      </c>
      <c r="B9" s="38">
        <v>10</v>
      </c>
      <c r="C9" s="38">
        <v>20</v>
      </c>
      <c r="D9" s="38">
        <v>40</v>
      </c>
      <c r="E9" s="38">
        <v>150</v>
      </c>
    </row>
    <row r="10" spans="1:5" ht="11.25">
      <c r="A10" s="40" t="s">
        <v>59</v>
      </c>
      <c r="B10" s="38">
        <v>20</v>
      </c>
      <c r="C10" s="38">
        <v>40</v>
      </c>
      <c r="D10" s="38">
        <v>100</v>
      </c>
      <c r="E10" s="38">
        <v>200</v>
      </c>
    </row>
    <row r="11" spans="1:5" ht="11.25">
      <c r="A11" s="40" t="s">
        <v>60</v>
      </c>
      <c r="B11" s="38">
        <v>4</v>
      </c>
      <c r="C11" s="38">
        <v>6</v>
      </c>
      <c r="D11" s="38">
        <v>15</v>
      </c>
      <c r="E11" s="38">
        <v>40</v>
      </c>
    </row>
    <row r="12" spans="1:5" ht="11.25">
      <c r="A12" s="40" t="s">
        <v>61</v>
      </c>
      <c r="B12" s="38">
        <v>0</v>
      </c>
      <c r="C12" s="38">
        <v>2</v>
      </c>
      <c r="D12" s="38">
        <v>8</v>
      </c>
      <c r="E12" s="38">
        <v>25</v>
      </c>
    </row>
    <row r="13" spans="1:5" ht="11.25">
      <c r="A13" s="40" t="s">
        <v>62</v>
      </c>
      <c r="B13" s="38">
        <v>0</v>
      </c>
      <c r="C13" s="38">
        <v>0</v>
      </c>
      <c r="D13" s="38">
        <v>5</v>
      </c>
      <c r="E13" s="38">
        <v>15</v>
      </c>
    </row>
    <row r="15" spans="1:5" s="39" customFormat="1" ht="11.25">
      <c r="A15" s="43" t="s">
        <v>100</v>
      </c>
      <c r="B15" s="39">
        <f>SUM(B8:B13)</f>
        <v>64</v>
      </c>
      <c r="C15" s="39">
        <f>SUM(C8:C13)</f>
        <v>268</v>
      </c>
      <c r="D15" s="39">
        <f>SUM(D8:D13)</f>
        <v>568</v>
      </c>
      <c r="E15" s="39">
        <f>SUM(E8:E13)</f>
        <v>1430</v>
      </c>
    </row>
    <row r="17" spans="1:5" ht="11.25">
      <c r="A17" s="39" t="s">
        <v>97</v>
      </c>
      <c r="B17" s="40" t="s">
        <v>99</v>
      </c>
      <c r="C17" s="40" t="s">
        <v>99</v>
      </c>
      <c r="D17" s="40" t="s">
        <v>99</v>
      </c>
      <c r="E17" s="40" t="s">
        <v>99</v>
      </c>
    </row>
    <row r="18" spans="1:5" ht="11.25">
      <c r="A18" s="40" t="s">
        <v>109</v>
      </c>
      <c r="B18" s="41">
        <f>B34*1.5</f>
        <v>210000</v>
      </c>
      <c r="C18" s="41">
        <f>C34*1.4</f>
        <v>588000</v>
      </c>
      <c r="D18" s="41">
        <f>D34*1.3</f>
        <v>832000</v>
      </c>
      <c r="E18" s="41">
        <f>E34*1.25</f>
        <v>2250000</v>
      </c>
    </row>
    <row r="19" spans="1:5" ht="11.25">
      <c r="A19" s="40" t="s">
        <v>110</v>
      </c>
      <c r="B19" s="41"/>
      <c r="C19" s="41"/>
      <c r="D19" s="41"/>
      <c r="E19" s="41"/>
    </row>
    <row r="20" spans="1:5" ht="11.25">
      <c r="A20" s="40" t="s">
        <v>91</v>
      </c>
      <c r="B20" s="42">
        <f>('Retail Model'!C98)*4*365*B8</f>
        <v>116374.25586510268</v>
      </c>
      <c r="C20" s="42">
        <f>(('Retail Model'!$C98)*4*365*C8)*0.8</f>
        <v>620662.6979472142</v>
      </c>
      <c r="D20" s="42">
        <f>(('Retail Model'!$C98)*4*365*D8)*0.75</f>
        <v>1163742.5586510268</v>
      </c>
      <c r="E20" s="42">
        <f>(('Retail Model'!$C98)*4*365*E8)*0.6</f>
        <v>2327485.117302053</v>
      </c>
    </row>
    <row r="21" spans="1:5" ht="11.25">
      <c r="A21" s="40" t="s">
        <v>92</v>
      </c>
      <c r="B21" s="42">
        <f>'Retail Model'!$B78*'Example Business Plan'!B9</f>
        <v>7663.77818181818</v>
      </c>
      <c r="C21" s="42">
        <f>'Retail Model'!$B78*'Example Business Plan'!C9</f>
        <v>15327.55636363636</v>
      </c>
      <c r="D21" s="42">
        <f>'Retail Model'!$B78*'Example Business Plan'!D9</f>
        <v>30655.11272727272</v>
      </c>
      <c r="E21" s="42">
        <f>'Retail Model'!$B78*'Example Business Plan'!E9</f>
        <v>114956.6727272727</v>
      </c>
    </row>
    <row r="22" spans="1:5" ht="11.25">
      <c r="A22" s="40" t="s">
        <v>59</v>
      </c>
      <c r="B22" s="42">
        <f>(B10*'Retail Model'!$C79+((0.3*B10)*('Retail Model'!$D79-'Retail Model'!$C79)))*1.5</f>
        <v>66215.0434909091</v>
      </c>
      <c r="C22" s="42">
        <f>(C10*'Retail Model'!$C79+((0.3*C10)*('Retail Model'!$D79-'Retail Model'!$C79)))*1.5</f>
        <v>132430.0869818182</v>
      </c>
      <c r="D22" s="42">
        <f>(D10*'Retail Model'!$C79+((0.3*D10)*('Retail Model'!$D79-'Retail Model'!$C79)))*1.5</f>
        <v>331075.2174545455</v>
      </c>
      <c r="E22" s="42">
        <f>(E10*'Retail Model'!$C79+((0.3*E10)*('Retail Model'!$D79-'Retail Model'!$C79)))*1.5</f>
        <v>662150.434909091</v>
      </c>
    </row>
    <row r="23" spans="1:5" ht="11.25">
      <c r="A23" s="40" t="s">
        <v>60</v>
      </c>
      <c r="B23" s="42">
        <f>(B11*'Retail Model'!$C80+((0.3*B11)*('Retail Model'!$D80-'Retail Model'!$C80)))*1.5</f>
        <v>24278.849280000002</v>
      </c>
      <c r="C23" s="42">
        <f>(C11*'Retail Model'!$C80+((0.3*C11)*('Retail Model'!$D80-'Retail Model'!$C80)))*1.5</f>
        <v>36418.27392000001</v>
      </c>
      <c r="D23" s="42">
        <f>(D11*'Retail Model'!$C80+((0.3*D11)*('Retail Model'!$D80-'Retail Model'!$C80)))*1.5</f>
        <v>91045.6848</v>
      </c>
      <c r="E23" s="42">
        <f>(E11*'Retail Model'!$C80+((0.3*E11)*('Retail Model'!$D80-'Retail Model'!$C80)))*1.5</f>
        <v>242788.4928</v>
      </c>
    </row>
    <row r="24" spans="1:5" ht="11.25">
      <c r="A24" s="40" t="s">
        <v>61</v>
      </c>
      <c r="B24" s="42">
        <f>B12*'Retail Model'!$C81+((0.3*B12)*('Retail Model'!$D81-'Retail Model'!$C81))</f>
        <v>0</v>
      </c>
      <c r="C24" s="42">
        <f>(C12*'Retail Model'!$C81+((0.3*C12)*('Retail Model'!$D81-'Retail Model'!$C81)))*1.5</f>
        <v>26554.9914</v>
      </c>
      <c r="D24" s="42">
        <f>(D12*'Retail Model'!$C81+((0.3*D12)*('Retail Model'!$D81-'Retail Model'!$C81)))*1.5</f>
        <v>106219.9656</v>
      </c>
      <c r="E24" s="42">
        <f>(E12*'Retail Model'!$C81+((0.3*E12)*('Retail Model'!$D81-'Retail Model'!$C81)))*1.5</f>
        <v>331937.3925</v>
      </c>
    </row>
    <row r="25" spans="1:5" ht="11.25">
      <c r="A25" s="40" t="s">
        <v>62</v>
      </c>
      <c r="B25" s="42">
        <f>B13*'Retail Model'!$C82+((0.3*B13)*('Retail Model'!$D82-'Retail Model'!$C82))</f>
        <v>0</v>
      </c>
      <c r="C25" s="42">
        <f>C13*'Retail Model'!$C82+((0.3*C13)*('Retail Model'!$D82-'Retail Model'!$C82))</f>
        <v>0</v>
      </c>
      <c r="D25" s="42">
        <f>(D13*'Retail Model'!$C82+((0.3*D13)*('Retail Model'!$D82-'Retail Model'!$C82)))*1.5</f>
        <v>110358.40581818183</v>
      </c>
      <c r="E25" s="42">
        <f>(E13*'Retail Model'!$C82+((0.3*E13)*('Retail Model'!$D82-'Retail Model'!$C82)))*1.5</f>
        <v>331075.2174545455</v>
      </c>
    </row>
    <row r="26" spans="2:7" ht="11.25">
      <c r="B26" s="42"/>
      <c r="C26" s="42"/>
      <c r="D26" s="42"/>
      <c r="E26" s="42"/>
      <c r="G26" s="39"/>
    </row>
    <row r="27" spans="1:5" s="39" customFormat="1" ht="11.25">
      <c r="A27" s="43" t="s">
        <v>100</v>
      </c>
      <c r="B27" s="44">
        <f>SUM(B18:B25)</f>
        <v>424531.92681783</v>
      </c>
      <c r="C27" s="44">
        <f>SUM(C18:C25)</f>
        <v>1419393.606612669</v>
      </c>
      <c r="D27" s="44">
        <f>SUM(D18:D25)</f>
        <v>2665096.9450510275</v>
      </c>
      <c r="E27" s="44">
        <f>SUM(E18:E25)</f>
        <v>6260393.327692962</v>
      </c>
    </row>
    <row r="28" spans="2:5" ht="11.25">
      <c r="B28" s="42"/>
      <c r="C28" s="42"/>
      <c r="D28" s="42"/>
      <c r="E28" s="42"/>
    </row>
    <row r="29" spans="1:5" ht="11.25">
      <c r="A29" s="39" t="s">
        <v>111</v>
      </c>
      <c r="B29" s="42"/>
      <c r="C29" s="42"/>
      <c r="D29" s="42"/>
      <c r="E29" s="42"/>
    </row>
    <row r="30" spans="1:5" ht="11.25">
      <c r="A30" s="40" t="s">
        <v>107</v>
      </c>
      <c r="B30" s="42">
        <f>((((B13*8)+(B12*4)+(B11*2)+(B10)+(B9/3)+(B8/3))*64)/20)</f>
        <v>132.26666666666665</v>
      </c>
      <c r="C30" s="42">
        <f>((((C13*8)+(C12*4)+(C11*2)+(C10)+(C9/3)+(C8/3))*64)/20)</f>
        <v>426.6666666666667</v>
      </c>
      <c r="D30" s="42">
        <f>((((D13*8)+(D12*4)+(D11*2)+(D10)+(D9/3)+(D8/3))*64)/20)</f>
        <v>1115.7333333333333</v>
      </c>
      <c r="E30" s="42">
        <f>((((E13*8)+(E12*4)+(E11*2)+(E10)+(E9/3)+(E8/3))*64)/20)</f>
        <v>2826.6666666666665</v>
      </c>
    </row>
    <row r="31" spans="1:5" ht="11.25">
      <c r="A31" s="43" t="s">
        <v>108</v>
      </c>
      <c r="B31" s="44">
        <v>128</v>
      </c>
      <c r="C31" s="44">
        <v>512</v>
      </c>
      <c r="D31" s="44">
        <v>1024</v>
      </c>
      <c r="E31" s="44">
        <v>3036</v>
      </c>
    </row>
    <row r="32" spans="2:5" ht="11.25">
      <c r="B32" s="42"/>
      <c r="C32" s="42"/>
      <c r="D32" s="42"/>
      <c r="E32" s="42"/>
    </row>
    <row r="33" spans="1:5" ht="11.25">
      <c r="A33" s="39" t="s">
        <v>101</v>
      </c>
      <c r="B33" s="42"/>
      <c r="C33" s="42"/>
      <c r="D33" s="42"/>
      <c r="E33" s="42"/>
    </row>
    <row r="34" spans="1:5" ht="11.25">
      <c r="A34" s="40" t="s">
        <v>102</v>
      </c>
      <c r="B34" s="42">
        <f>(B8*2000)+(B9*2000)+(SUM(B10:B13)*2500)</f>
        <v>140000</v>
      </c>
      <c r="C34" s="42">
        <f>((C8-B8)*2000)+((C9-B9)*2000)+((SUM(C10:C13)-SUM(B10:B13))*2500)</f>
        <v>420000</v>
      </c>
      <c r="D34" s="42">
        <f>((D8-C8)*2000)+((D9-C9)*2000)+((SUM(D10:D13)-SUM(C10:C13))*2500)</f>
        <v>640000</v>
      </c>
      <c r="E34" s="42">
        <f>((E8-D8)*2000)+((E9-D9)*2000)+((SUM(E10:E13)-SUM(D10:D13))*2500)</f>
        <v>1800000</v>
      </c>
    </row>
    <row r="35" spans="1:5" ht="11.25">
      <c r="A35" s="40" t="s">
        <v>103</v>
      </c>
      <c r="B35" s="42">
        <f>(B31/2048)*(12*110000)</f>
        <v>82500</v>
      </c>
      <c r="C35" s="42">
        <f>(C31/2048)*(12*110000)</f>
        <v>330000</v>
      </c>
      <c r="D35" s="42">
        <f>(D31/2048)*(12*110000)</f>
        <v>660000</v>
      </c>
      <c r="E35" s="42">
        <f>(E31/2048)*(12*110000)</f>
        <v>1956796.875</v>
      </c>
    </row>
    <row r="36" spans="1:5" ht="11.25">
      <c r="A36" s="40" t="s">
        <v>104</v>
      </c>
      <c r="B36" s="42">
        <v>250000</v>
      </c>
      <c r="C36" s="42">
        <v>350000</v>
      </c>
      <c r="D36" s="42">
        <v>450000</v>
      </c>
      <c r="E36" s="42">
        <v>500000</v>
      </c>
    </row>
    <row r="37" spans="1:5" ht="11.25">
      <c r="A37" s="40" t="s">
        <v>105</v>
      </c>
      <c r="B37" s="42">
        <v>0</v>
      </c>
      <c r="C37" s="42">
        <v>50000</v>
      </c>
      <c r="D37" s="42">
        <v>100000</v>
      </c>
      <c r="E37" s="42">
        <v>150000</v>
      </c>
    </row>
    <row r="38" spans="1:5" ht="11.25">
      <c r="A38" s="40" t="s">
        <v>33</v>
      </c>
      <c r="B38" s="42">
        <v>120000</v>
      </c>
      <c r="C38" s="42">
        <v>120000</v>
      </c>
      <c r="D38" s="42">
        <v>140000</v>
      </c>
      <c r="E38" s="42">
        <v>200000</v>
      </c>
    </row>
    <row r="39" spans="1:5" ht="11.25">
      <c r="A39" s="40"/>
      <c r="B39" s="42"/>
      <c r="C39" s="42"/>
      <c r="D39" s="42"/>
      <c r="E39" s="42"/>
    </row>
    <row r="40" spans="1:5" ht="11.25">
      <c r="A40" s="43" t="s">
        <v>100</v>
      </c>
      <c r="B40" s="44">
        <f>SUM(B34:B38)</f>
        <v>592500</v>
      </c>
      <c r="C40" s="44">
        <f>SUM(C34:C38)</f>
        <v>1270000</v>
      </c>
      <c r="D40" s="44">
        <f>SUM(D34:D38)</f>
        <v>1990000</v>
      </c>
      <c r="E40" s="44">
        <f>SUM(E34:E38)</f>
        <v>4606796.875</v>
      </c>
    </row>
    <row r="41" spans="2:5" ht="11.25">
      <c r="B41" s="42"/>
      <c r="C41" s="42"/>
      <c r="D41" s="42"/>
      <c r="E41" s="42"/>
    </row>
    <row r="42" spans="1:5" ht="11.25">
      <c r="A42" s="39" t="s">
        <v>112</v>
      </c>
      <c r="B42" s="42"/>
      <c r="C42" s="42"/>
      <c r="D42" s="42"/>
      <c r="E42" s="42"/>
    </row>
    <row r="43" spans="1:5" ht="11.25">
      <c r="A43" s="40" t="s">
        <v>106</v>
      </c>
      <c r="B43" s="42">
        <f>B27-B40</f>
        <v>-167968.07318217</v>
      </c>
      <c r="C43" s="42">
        <f>C27-C40</f>
        <v>149393.60661266907</v>
      </c>
      <c r="D43" s="42">
        <f>D27-D40</f>
        <v>675096.9450510275</v>
      </c>
      <c r="E43" s="42">
        <f>E27-E40</f>
        <v>1653596.4526929623</v>
      </c>
    </row>
    <row r="47" spans="1:5" ht="11.25">
      <c r="A47" s="43" t="s">
        <v>97</v>
      </c>
      <c r="B47" s="45">
        <f>B27</f>
        <v>424531.92681783</v>
      </c>
      <c r="C47" s="45">
        <f>C27</f>
        <v>1419393.606612669</v>
      </c>
      <c r="D47" s="45">
        <f>D27</f>
        <v>2665096.9450510275</v>
      </c>
      <c r="E47" s="45">
        <f>E27</f>
        <v>6260393.327692962</v>
      </c>
    </row>
    <row r="48" spans="1:5" ht="11.25">
      <c r="A48" s="43"/>
      <c r="B48" s="39"/>
      <c r="C48" s="39"/>
      <c r="D48" s="39"/>
      <c r="E48" s="39"/>
    </row>
    <row r="49" spans="1:5" ht="11.25">
      <c r="A49" s="43" t="s">
        <v>101</v>
      </c>
      <c r="B49" s="45">
        <f>B40</f>
        <v>592500</v>
      </c>
      <c r="C49" s="45">
        <f>C40</f>
        <v>1270000</v>
      </c>
      <c r="D49" s="45">
        <f>D40</f>
        <v>1990000</v>
      </c>
      <c r="E49" s="45">
        <f>E40</f>
        <v>4606796.875</v>
      </c>
    </row>
    <row r="50" spans="1:5" ht="11.25">
      <c r="A50" s="43"/>
      <c r="B50" s="39"/>
      <c r="C50" s="39"/>
      <c r="D50" s="39"/>
      <c r="E50" s="39"/>
    </row>
    <row r="51" spans="1:5" ht="11.25">
      <c r="A51" s="43" t="s">
        <v>113</v>
      </c>
      <c r="B51" s="45">
        <f>B43</f>
        <v>-167968.07318217</v>
      </c>
      <c r="C51" s="45">
        <f>C43</f>
        <v>149393.60661266907</v>
      </c>
      <c r="D51" s="45">
        <f>D43</f>
        <v>675096.9450510275</v>
      </c>
      <c r="E51" s="45">
        <f>E43</f>
        <v>1653596.4526929623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6">
      <selection activeCell="C26" sqref="C26"/>
    </sheetView>
  </sheetViews>
  <sheetFormatPr defaultColWidth="9.00390625" defaultRowHeight="12.75"/>
  <cols>
    <col min="1" max="16384" width="11.50390625" style="0" customWidth="1"/>
  </cols>
  <sheetData>
    <row r="1" spans="1:2" ht="12.75">
      <c r="A1" t="s">
        <v>82</v>
      </c>
      <c r="B1" t="s">
        <v>83</v>
      </c>
    </row>
    <row r="2" spans="1:3" ht="12.75">
      <c r="A2" s="37">
        <v>0.05</v>
      </c>
      <c r="B2">
        <v>10</v>
      </c>
      <c r="C2">
        <f>A2*(B2*100)</f>
        <v>50</v>
      </c>
    </row>
    <row r="3" spans="1:3" ht="12.75">
      <c r="A3" s="37">
        <v>0.1</v>
      </c>
      <c r="B3">
        <v>36</v>
      </c>
      <c r="C3">
        <f aca="true" t="shared" si="0" ref="C3:C21">A3*(B3*100)</f>
        <v>360</v>
      </c>
    </row>
    <row r="4" spans="1:3" ht="12.75">
      <c r="A4" s="37">
        <v>0.15</v>
      </c>
      <c r="B4">
        <v>47</v>
      </c>
      <c r="C4">
        <f t="shared" si="0"/>
        <v>705</v>
      </c>
    </row>
    <row r="5" spans="1:3" ht="12.75">
      <c r="A5" s="37">
        <v>0.2</v>
      </c>
      <c r="B5">
        <v>45</v>
      </c>
      <c r="C5">
        <f t="shared" si="0"/>
        <v>900</v>
      </c>
    </row>
    <row r="6" spans="1:3" ht="12.75">
      <c r="A6" s="37">
        <v>0.25</v>
      </c>
      <c r="B6">
        <v>35</v>
      </c>
      <c r="C6">
        <f t="shared" si="0"/>
        <v>875</v>
      </c>
    </row>
    <row r="7" spans="1:3" ht="12.75">
      <c r="A7" s="37">
        <v>0.3</v>
      </c>
      <c r="B7">
        <v>15</v>
      </c>
      <c r="C7">
        <f t="shared" si="0"/>
        <v>450</v>
      </c>
    </row>
    <row r="8" spans="1:3" ht="12.75">
      <c r="A8" s="37">
        <v>0.35</v>
      </c>
      <c r="B8">
        <v>10</v>
      </c>
      <c r="C8">
        <f t="shared" si="0"/>
        <v>350</v>
      </c>
    </row>
    <row r="9" spans="1:3" ht="12.75">
      <c r="A9" s="37">
        <v>0.4</v>
      </c>
      <c r="B9">
        <v>9</v>
      </c>
      <c r="C9">
        <f t="shared" si="0"/>
        <v>360</v>
      </c>
    </row>
    <row r="10" spans="1:3" ht="12.75">
      <c r="A10" s="37">
        <v>0.45</v>
      </c>
      <c r="B10">
        <v>5</v>
      </c>
      <c r="C10">
        <f t="shared" si="0"/>
        <v>225</v>
      </c>
    </row>
    <row r="11" spans="1:3" ht="12.75">
      <c r="A11" s="37">
        <v>0.5</v>
      </c>
      <c r="B11">
        <v>6</v>
      </c>
      <c r="C11">
        <f t="shared" si="0"/>
        <v>300</v>
      </c>
    </row>
    <row r="12" spans="1:3" ht="12.75">
      <c r="A12" s="37">
        <v>0.55</v>
      </c>
      <c r="B12">
        <v>5</v>
      </c>
      <c r="C12">
        <f t="shared" si="0"/>
        <v>275</v>
      </c>
    </row>
    <row r="13" spans="1:3" ht="12.75">
      <c r="A13" s="37">
        <v>0.6</v>
      </c>
      <c r="B13">
        <v>8</v>
      </c>
      <c r="C13">
        <f t="shared" si="0"/>
        <v>480</v>
      </c>
    </row>
    <row r="14" spans="1:3" ht="12.75">
      <c r="A14" s="37">
        <v>0.65</v>
      </c>
      <c r="B14">
        <v>6</v>
      </c>
      <c r="C14">
        <f t="shared" si="0"/>
        <v>390</v>
      </c>
    </row>
    <row r="15" spans="1:3" ht="12.75">
      <c r="A15" s="37">
        <v>0.7</v>
      </c>
      <c r="B15">
        <v>4</v>
      </c>
      <c r="C15">
        <f t="shared" si="0"/>
        <v>280</v>
      </c>
    </row>
    <row r="16" spans="1:3" ht="12.75">
      <c r="A16" s="37">
        <v>0.75</v>
      </c>
      <c r="B16">
        <v>0</v>
      </c>
      <c r="C16">
        <f t="shared" si="0"/>
        <v>0</v>
      </c>
    </row>
    <row r="17" spans="1:3" ht="12.75">
      <c r="A17" s="37">
        <v>0.8</v>
      </c>
      <c r="B17">
        <v>1</v>
      </c>
      <c r="C17">
        <f t="shared" si="0"/>
        <v>80</v>
      </c>
    </row>
    <row r="18" spans="1:3" ht="12.75">
      <c r="A18" s="37">
        <v>0.85</v>
      </c>
      <c r="B18">
        <v>1</v>
      </c>
      <c r="C18">
        <f t="shared" si="0"/>
        <v>85</v>
      </c>
    </row>
    <row r="19" spans="1:3" ht="12.75">
      <c r="A19" s="37">
        <v>0.9</v>
      </c>
      <c r="B19">
        <v>2</v>
      </c>
      <c r="C19">
        <f t="shared" si="0"/>
        <v>180</v>
      </c>
    </row>
    <row r="20" spans="1:3" ht="12.75">
      <c r="A20" s="37">
        <v>0.95</v>
      </c>
      <c r="B20">
        <v>3</v>
      </c>
      <c r="C20">
        <f t="shared" si="0"/>
        <v>285</v>
      </c>
    </row>
    <row r="21" spans="1:3" ht="12.75">
      <c r="A21" s="37">
        <v>1</v>
      </c>
      <c r="B21">
        <v>0</v>
      </c>
      <c r="C21">
        <f t="shared" si="0"/>
        <v>0</v>
      </c>
    </row>
    <row r="23" spans="2:3" ht="12.75">
      <c r="B23">
        <f>SUM(B2:B21)</f>
        <v>248</v>
      </c>
      <c r="C23">
        <f>SUM(C2:C21)/B23</f>
        <v>26.733870967741936</v>
      </c>
    </row>
    <row r="25" spans="2:3" ht="12.75">
      <c r="B25">
        <f>SUM(B2:B8)</f>
        <v>198</v>
      </c>
      <c r="C25">
        <f>SUM(C2:C8)/B25</f>
        <v>18.636363636363637</v>
      </c>
    </row>
    <row r="26" spans="2:3" ht="12.75">
      <c r="B26">
        <f>SUM(B9:B21)</f>
        <v>50</v>
      </c>
      <c r="C26">
        <f>SUM(C9:C21)/B26</f>
        <v>58.8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gih</cp:lastModifiedBy>
  <dcterms:created xsi:type="dcterms:W3CDTF">1998-07-16T06:35:55Z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